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profiledata$\andreas.bauer\Desktop\Solar-Sachen (PV &amp; ST)\"/>
    </mc:Choice>
  </mc:AlternateContent>
  <xr:revisionPtr revIDLastSave="0" documentId="13_ncr:1_{7A784616-FA7B-404A-B950-797BDEE1BA1A}" xr6:coauthVersionLast="47" xr6:coauthVersionMax="47" xr10:uidLastSave="{00000000-0000-0000-0000-000000000000}"/>
  <workbookProtection workbookAlgorithmName="SHA-512" workbookHashValue="TLPZ0gBF2CxclvXyHeFdEIQZavtHmxo2rWUmT1OFnU3VDroo1O+LGzFB6Hevrn6AzHLLJrNBYB0Z+HFIIvbVaA==" workbookSaltValue="c4YSF8QRLumfanOtMJV4IQ==" workbookSpinCount="100000" lockStructure="1"/>
  <bookViews>
    <workbookView xWindow="0" yWindow="0" windowWidth="18990" windowHeight="15600" xr2:uid="{DEBDAD46-F212-4160-8118-610718F3A181}"/>
  </bookViews>
  <sheets>
    <sheet name="Eingabenfelder" sheetId="3" r:id="rId1"/>
    <sheet name="Hintergrundberechnungen" sheetId="2" state="hidden" r:id="rId2"/>
    <sheet name="Grundstruktur_Basisdaten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B21" i="1"/>
  <c r="H6" i="1"/>
  <c r="H10" i="1"/>
  <c r="H15" i="1"/>
  <c r="H16" i="1"/>
  <c r="B26" i="2"/>
  <c r="B10" i="1"/>
  <c r="C19" i="3"/>
  <c r="B5" i="1"/>
  <c r="B6" i="1"/>
  <c r="H12" i="1"/>
  <c r="H13" i="1" s="1"/>
  <c r="H14" i="2"/>
  <c r="H13" i="2"/>
  <c r="H12" i="2"/>
  <c r="H11" i="2"/>
  <c r="C14" i="2"/>
  <c r="C13" i="2"/>
  <c r="C12" i="2"/>
  <c r="C11" i="2"/>
  <c r="H10" i="2"/>
  <c r="H15" i="2" s="1"/>
  <c r="C10" i="2"/>
  <c r="C15" i="2" s="1"/>
  <c r="B18" i="2" s="1"/>
  <c r="B21" i="2" s="1"/>
  <c r="B22" i="2" s="1"/>
  <c r="H7" i="2"/>
  <c r="H6" i="2"/>
  <c r="H5" i="2"/>
  <c r="H4" i="2"/>
  <c r="H3" i="2"/>
  <c r="C7" i="2"/>
  <c r="C6" i="2"/>
  <c r="C5" i="2"/>
  <c r="C4" i="2"/>
  <c r="C3" i="2"/>
  <c r="A36" i="1"/>
  <c r="I13" i="1"/>
  <c r="I15" i="1" s="1"/>
  <c r="F36" i="1"/>
  <c r="H4" i="1"/>
  <c r="I12" i="1"/>
  <c r="I9" i="1"/>
  <c r="H9" i="1"/>
  <c r="I5" i="1"/>
  <c r="H5" i="1"/>
  <c r="E6" i="1"/>
  <c r="B25" i="2" l="1"/>
</calcChain>
</file>

<file path=xl/sharedStrings.xml><?xml version="1.0" encoding="utf-8"?>
<sst xmlns="http://schemas.openxmlformats.org/spreadsheetml/2006/main" count="147" uniqueCount="69">
  <si>
    <t>Euro</t>
  </si>
  <si>
    <t>Watt</t>
  </si>
  <si>
    <t>Wh</t>
  </si>
  <si>
    <t>kWh</t>
  </si>
  <si>
    <t>kWh/a</t>
  </si>
  <si>
    <t>Euro/kWh</t>
  </si>
  <si>
    <t>Nur Energiekosten</t>
  </si>
  <si>
    <t>Gesamtkosten</t>
  </si>
  <si>
    <t>Euro/a</t>
  </si>
  <si>
    <t>zu bezahlen</t>
  </si>
  <si>
    <t xml:space="preserve">Standort </t>
  </si>
  <si>
    <t>Stankt Pölten</t>
  </si>
  <si>
    <t>slope</t>
  </si>
  <si>
    <t>°</t>
  </si>
  <si>
    <t>azimuth</t>
  </si>
  <si>
    <t>= senkrecht</t>
  </si>
  <si>
    <t>jährlicher Ertrag</t>
  </si>
  <si>
    <t>Wirtschaftlichkeitsberechnung</t>
  </si>
  <si>
    <t>h/a</t>
  </si>
  <si>
    <t>Verbrauch</t>
  </si>
  <si>
    <t>Jahre</t>
  </si>
  <si>
    <t>Eigen</t>
  </si>
  <si>
    <t>oder</t>
  </si>
  <si>
    <t>Cent/kWh</t>
  </si>
  <si>
    <t xml:space="preserve">Gesamtkosten für den Strombezug (Energiekosten, Netzkosten und Steuern und Abgaben) </t>
  </si>
  <si>
    <t xml:space="preserve">Gesamtkosten für die PV-Anlage (PV-Modul, Mikrowechselrichter, Unterkonstruktion, RST-20-Set und Verkabelung) </t>
  </si>
  <si>
    <r>
      <t>Euro/kW</t>
    </r>
    <r>
      <rPr>
        <vertAlign val="subscript"/>
        <sz val="11"/>
        <color theme="1"/>
        <rFont val="Calibri"/>
        <family val="2"/>
        <scheme val="minor"/>
      </rPr>
      <t>p</t>
    </r>
  </si>
  <si>
    <t>Eigenverbrauch</t>
  </si>
  <si>
    <t>%</t>
  </si>
  <si>
    <r>
      <t>kWh/(kW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*a)</t>
    </r>
  </si>
  <si>
    <t>finanzielle Amortisations in Jahren</t>
  </si>
  <si>
    <t>1.</t>
  </si>
  <si>
    <t>2.</t>
  </si>
  <si>
    <t>1a.</t>
  </si>
  <si>
    <t>1b.</t>
  </si>
  <si>
    <t>2a.</t>
  </si>
  <si>
    <t>2b.</t>
  </si>
  <si>
    <t>= West</t>
  </si>
  <si>
    <t>= Ost</t>
  </si>
  <si>
    <t>= Süd</t>
  </si>
  <si>
    <t xml:space="preserve">https://re.jrc.ec.europa.eu/pvg_tools/en/ </t>
  </si>
  <si>
    <t>Datenquelle für den jährlichen Ertrag --&gt;</t>
  </si>
  <si>
    <t>= Süd-Ost</t>
  </si>
  <si>
    <t>= Süd-West</t>
  </si>
  <si>
    <t>Für die Listen</t>
  </si>
  <si>
    <t>Neigung</t>
  </si>
  <si>
    <t>Ausrichtung</t>
  </si>
  <si>
    <t>Ost</t>
  </si>
  <si>
    <t>Süd-ost</t>
  </si>
  <si>
    <t>Süd</t>
  </si>
  <si>
    <t>Süd-West</t>
  </si>
  <si>
    <t>West</t>
  </si>
  <si>
    <t>75 [°]</t>
  </si>
  <si>
    <t>90 [°]</t>
  </si>
  <si>
    <t>Süd-Ost</t>
  </si>
  <si>
    <t>2. Auswertung</t>
  </si>
  <si>
    <t>1. Auswertung</t>
  </si>
  <si>
    <t>3. Auswertung</t>
  </si>
  <si>
    <t>Ersparnis</t>
  </si>
  <si>
    <t>4. Auswertung</t>
  </si>
  <si>
    <t>Hier sind die Daten anzugeben und
 die entspechende Auswahl zu treffen</t>
  </si>
  <si>
    <t xml:space="preserve"> Kosten des Balkonkraftwerks in Euro</t>
  </si>
  <si>
    <t xml:space="preserve"> Leistung der PV-Anlage in Watt</t>
  </si>
  <si>
    <t xml:space="preserve"> Ausrichtung des PV-Moduls</t>
  </si>
  <si>
    <t xml:space="preserve"> Neigungswinkel</t>
  </si>
  <si>
    <t xml:space="preserve"> Gesamtkosten für den Strombezug
 (Energiekosten, Netzkosten und Steuern und Abgaben) in Cent</t>
  </si>
  <si>
    <t xml:space="preserve"> (geschätzter) Eigenverbrauch in Prozent</t>
  </si>
  <si>
    <t>Ergebnis</t>
  </si>
  <si>
    <t xml:space="preserve"> Amortisation in Jahren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</si>
</sst>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"/>
    <numFmt numFmtId="165" formatCode="0.0"/>
    <numFmt numFmtId="166" formatCode="0\ &quot;[°]&quot;"/>
    <numFmt numFmtId="167" formatCode="0.00\ &quot;[%]&quot;"/>
    <numFmt numFmtId="168" formatCode="0.00\ &quot;[Cent/kWh]&quot;"/>
    <numFmt numFmtId="169" formatCode="&quot;€&quot;\ #,##0.00"/>
    <numFmt numFmtId="170" formatCode="&quot;rund&quot;\ 0"/>
    <numFmt numFmtId="172" formatCode="0\ &quot;[%]&quot;"/>
    <numFmt numFmtId="174" formatCode="0\ &quot;[W]&quot;"/>
    <numFmt numFmtId="175" formatCode="0\ &quot;[Cent/kWh]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164" fontId="0" fillId="0" borderId="0" xfId="0" applyNumberFormat="1"/>
    <xf numFmtId="2" fontId="0" fillId="0" borderId="0" xfId="0" applyNumberFormat="1"/>
    <xf numFmtId="9" fontId="0" fillId="0" borderId="0" xfId="1" applyFont="1"/>
    <xf numFmtId="3" fontId="0" fillId="0" borderId="0" xfId="0" applyNumberFormat="1"/>
    <xf numFmtId="0" fontId="0" fillId="0" borderId="0" xfId="0" quotePrefix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2" borderId="0" xfId="0" applyFill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2" applyBorder="1"/>
    <xf numFmtId="0" fontId="0" fillId="0" borderId="6" xfId="0" applyBorder="1"/>
    <xf numFmtId="0" fontId="0" fillId="0" borderId="6" xfId="0" quotePrefix="1" applyBorder="1"/>
    <xf numFmtId="165" fontId="0" fillId="0" borderId="4" xfId="0" applyNumberFormat="1" applyBorder="1"/>
    <xf numFmtId="0" fontId="0" fillId="2" borderId="0" xfId="0" applyFill="1" applyAlignment="1">
      <alignment horizontal="center"/>
    </xf>
    <xf numFmtId="0" fontId="0" fillId="0" borderId="6" xfId="0" applyBorder="1" applyAlignment="1">
      <alignment horizontal="center"/>
    </xf>
    <xf numFmtId="166" fontId="0" fillId="2" borderId="0" xfId="0" applyNumberFormat="1" applyFill="1" applyAlignment="1">
      <alignment horizontal="center"/>
    </xf>
    <xf numFmtId="0" fontId="0" fillId="0" borderId="0" xfId="0" applyBorder="1"/>
    <xf numFmtId="0" fontId="0" fillId="2" borderId="0" xfId="0" applyNumberFormat="1" applyFill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0" borderId="0" xfId="0" applyFill="1" applyBorder="1" applyAlignment="1">
      <alignment horizontal="right"/>
    </xf>
    <xf numFmtId="169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172" fontId="0" fillId="0" borderId="13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74" fontId="0" fillId="0" borderId="13" xfId="0" applyNumberFormat="1" applyBorder="1" applyAlignment="1" applyProtection="1">
      <alignment horizontal="center"/>
      <protection locked="0"/>
    </xf>
    <xf numFmtId="0" fontId="0" fillId="3" borderId="0" xfId="0" applyFill="1" applyProtection="1"/>
    <xf numFmtId="0" fontId="0" fillId="0" borderId="15" xfId="0" applyBorder="1" applyProtection="1"/>
    <xf numFmtId="0" fontId="0" fillId="4" borderId="15" xfId="0" applyFill="1" applyBorder="1" applyProtection="1"/>
    <xf numFmtId="0" fontId="0" fillId="0" borderId="16" xfId="0" applyBorder="1" applyProtection="1"/>
    <xf numFmtId="0" fontId="0" fillId="4" borderId="17" xfId="0" applyFill="1" applyBorder="1" applyProtection="1"/>
    <xf numFmtId="0" fontId="0" fillId="0" borderId="18" xfId="0" applyBorder="1" applyProtection="1"/>
    <xf numFmtId="0" fontId="0" fillId="4" borderId="19" xfId="0" applyFill="1" applyBorder="1" applyProtection="1"/>
    <xf numFmtId="0" fontId="0" fillId="0" borderId="22" xfId="0" applyBorder="1" applyProtection="1"/>
    <xf numFmtId="0" fontId="0" fillId="0" borderId="27" xfId="0" applyBorder="1" applyProtection="1"/>
    <xf numFmtId="0" fontId="0" fillId="0" borderId="17" xfId="0" applyBorder="1" applyProtection="1"/>
    <xf numFmtId="0" fontId="0" fillId="0" borderId="17" xfId="0" applyBorder="1" applyAlignment="1" applyProtection="1">
      <alignment wrapText="1"/>
    </xf>
    <xf numFmtId="0" fontId="0" fillId="0" borderId="28" xfId="0" applyBorder="1" applyProtection="1"/>
    <xf numFmtId="0" fontId="0" fillId="2" borderId="20" xfId="0" applyFill="1" applyBorder="1" applyAlignment="1" applyProtection="1">
      <alignment horizontal="center" wrapText="1"/>
    </xf>
    <xf numFmtId="0" fontId="0" fillId="2" borderId="21" xfId="0" applyFill="1" applyBorder="1" applyAlignment="1" applyProtection="1">
      <alignment horizontal="center" wrapText="1"/>
    </xf>
    <xf numFmtId="0" fontId="0" fillId="2" borderId="22" xfId="0" applyFill="1" applyBorder="1" applyAlignment="1" applyProtection="1">
      <alignment horizontal="center" wrapText="1"/>
    </xf>
    <xf numFmtId="0" fontId="0" fillId="2" borderId="23" xfId="0" applyFill="1" applyBorder="1" applyProtection="1"/>
    <xf numFmtId="0" fontId="0" fillId="2" borderId="24" xfId="0" applyFill="1" applyBorder="1" applyProtection="1"/>
    <xf numFmtId="167" fontId="0" fillId="2" borderId="24" xfId="0" applyNumberFormat="1" applyFill="1" applyBorder="1" applyProtection="1"/>
    <xf numFmtId="0" fontId="0" fillId="2" borderId="25" xfId="0" applyFill="1" applyBorder="1" applyProtection="1"/>
    <xf numFmtId="0" fontId="0" fillId="2" borderId="26" xfId="0" applyFill="1" applyBorder="1" applyProtection="1"/>
    <xf numFmtId="0" fontId="0" fillId="2" borderId="27" xfId="0" applyFill="1" applyBorder="1" applyProtection="1"/>
    <xf numFmtId="0" fontId="0" fillId="2" borderId="29" xfId="0" applyFill="1" applyBorder="1" applyProtection="1"/>
    <xf numFmtId="168" fontId="0" fillId="2" borderId="30" xfId="0" applyNumberFormat="1" applyFill="1" applyBorder="1" applyProtection="1"/>
    <xf numFmtId="0" fontId="0" fillId="2" borderId="30" xfId="0" applyFill="1" applyBorder="1" applyProtection="1"/>
    <xf numFmtId="0" fontId="0" fillId="0" borderId="28" xfId="0" applyBorder="1" applyAlignment="1" applyProtection="1">
      <alignment horizontal="center"/>
    </xf>
    <xf numFmtId="167" fontId="0" fillId="2" borderId="30" xfId="0" applyNumberFormat="1" applyFill="1" applyBorder="1" applyProtection="1"/>
    <xf numFmtId="172" fontId="0" fillId="0" borderId="19" xfId="0" applyNumberFormat="1" applyBorder="1" applyAlignment="1" applyProtection="1">
      <alignment horizontal="center"/>
    </xf>
    <xf numFmtId="0" fontId="0" fillId="0" borderId="30" xfId="0" applyBorder="1" applyProtection="1"/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170" fontId="0" fillId="0" borderId="33" xfId="0" applyNumberFormat="1" applyBorder="1" applyAlignment="1" applyProtection="1">
      <alignment horizontal="center"/>
    </xf>
    <xf numFmtId="170" fontId="0" fillId="0" borderId="34" xfId="0" applyNumberFormat="1" applyBorder="1" applyAlignment="1" applyProtection="1">
      <alignment horizontal="center"/>
    </xf>
    <xf numFmtId="165" fontId="0" fillId="0" borderId="13" xfId="0" applyNumberFormat="1" applyBorder="1" applyAlignment="1" applyProtection="1">
      <alignment horizontal="center" vertical="center"/>
    </xf>
    <xf numFmtId="0" fontId="0" fillId="4" borderId="14" xfId="0" applyFill="1" applyBorder="1" applyProtection="1"/>
    <xf numFmtId="165" fontId="0" fillId="4" borderId="0" xfId="0" applyNumberFormat="1" applyFill="1" applyBorder="1" applyAlignment="1" applyProtection="1"/>
    <xf numFmtId="175" fontId="0" fillId="0" borderId="13" xfId="0" applyNumberFormat="1" applyBorder="1" applyAlignment="1" applyProtection="1">
      <alignment horizontal="center" vertical="center"/>
      <protection locked="0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e.jrc.ec.europa.eu/pvg_tools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0002-2D0C-4A50-AC94-4B7BDE09C7DF}">
  <dimension ref="A1:F21"/>
  <sheetViews>
    <sheetView tabSelected="1" workbookViewId="0">
      <selection activeCell="C4" sqref="C4"/>
    </sheetView>
  </sheetViews>
  <sheetFormatPr baseColWidth="10" defaultRowHeight="15" x14ac:dyDescent="0.25"/>
  <cols>
    <col min="1" max="1" width="11.42578125" style="42"/>
    <col min="2" max="2" width="2.85546875" style="42" customWidth="1"/>
    <col min="3" max="3" width="17.85546875" style="42" customWidth="1"/>
    <col min="4" max="4" width="3.140625" style="42" customWidth="1"/>
    <col min="5" max="5" width="36.7109375" style="42" customWidth="1"/>
    <col min="6" max="6" width="2.42578125" style="42" customWidth="1"/>
    <col min="7" max="16384" width="11.42578125" style="42"/>
  </cols>
  <sheetData>
    <row r="1" spans="1:6" x14ac:dyDescent="0.25">
      <c r="A1" s="43"/>
      <c r="B1" s="47"/>
      <c r="C1" s="47"/>
      <c r="D1" s="47"/>
      <c r="E1" s="43"/>
      <c r="F1" s="44"/>
    </row>
    <row r="2" spans="1:6" ht="62.25" customHeight="1" x14ac:dyDescent="0.25">
      <c r="A2" s="45"/>
      <c r="B2" s="54" t="s">
        <v>60</v>
      </c>
      <c r="C2" s="55"/>
      <c r="D2" s="56"/>
      <c r="E2" s="51"/>
      <c r="F2" s="44"/>
    </row>
    <row r="3" spans="1:6" x14ac:dyDescent="0.25">
      <c r="A3" s="45"/>
      <c r="B3" s="57"/>
      <c r="C3" s="47"/>
      <c r="D3" s="58"/>
      <c r="E3" s="51"/>
      <c r="F3" s="44"/>
    </row>
    <row r="4" spans="1:6" x14ac:dyDescent="0.25">
      <c r="A4" s="45"/>
      <c r="B4" s="63"/>
      <c r="C4" s="31">
        <v>500</v>
      </c>
      <c r="D4" s="65"/>
      <c r="E4" s="51" t="s">
        <v>61</v>
      </c>
      <c r="F4" s="44"/>
    </row>
    <row r="5" spans="1:6" x14ac:dyDescent="0.25">
      <c r="A5" s="45"/>
      <c r="B5" s="57"/>
      <c r="C5" s="53"/>
      <c r="D5" s="58"/>
      <c r="E5" s="51"/>
      <c r="F5" s="44"/>
    </row>
    <row r="6" spans="1:6" x14ac:dyDescent="0.25">
      <c r="A6" s="45"/>
      <c r="B6" s="63"/>
      <c r="C6" s="41">
        <v>300</v>
      </c>
      <c r="D6" s="65"/>
      <c r="E6" s="51" t="s">
        <v>62</v>
      </c>
      <c r="F6" s="44"/>
    </row>
    <row r="7" spans="1:6" x14ac:dyDescent="0.25">
      <c r="A7" s="45"/>
      <c r="B7" s="57"/>
      <c r="C7" s="53"/>
      <c r="D7" s="58"/>
      <c r="E7" s="51"/>
      <c r="F7" s="44"/>
    </row>
    <row r="8" spans="1:6" x14ac:dyDescent="0.25">
      <c r="A8" s="45"/>
      <c r="B8" s="63"/>
      <c r="C8" s="32" t="s">
        <v>49</v>
      </c>
      <c r="D8" s="65"/>
      <c r="E8" s="51" t="s">
        <v>63</v>
      </c>
      <c r="F8" s="44"/>
    </row>
    <row r="9" spans="1:6" x14ac:dyDescent="0.25">
      <c r="A9" s="45"/>
      <c r="B9" s="57"/>
      <c r="C9" s="66"/>
      <c r="D9" s="58"/>
      <c r="E9" s="51"/>
      <c r="F9" s="44"/>
    </row>
    <row r="10" spans="1:6" x14ac:dyDescent="0.25">
      <c r="A10" s="45"/>
      <c r="B10" s="63"/>
      <c r="C10" s="33">
        <v>90</v>
      </c>
      <c r="D10" s="65"/>
      <c r="E10" s="51" t="s">
        <v>64</v>
      </c>
      <c r="F10" s="44"/>
    </row>
    <row r="11" spans="1:6" x14ac:dyDescent="0.25">
      <c r="A11" s="45"/>
      <c r="B11" s="57"/>
      <c r="C11" s="53"/>
      <c r="D11" s="58"/>
      <c r="E11" s="51"/>
      <c r="F11" s="44"/>
    </row>
    <row r="12" spans="1:6" ht="45" x14ac:dyDescent="0.25">
      <c r="A12" s="45"/>
      <c r="B12" s="63"/>
      <c r="C12" s="77">
        <v>30</v>
      </c>
      <c r="D12" s="64"/>
      <c r="E12" s="52" t="s">
        <v>65</v>
      </c>
      <c r="F12" s="44"/>
    </row>
    <row r="13" spans="1:6" x14ac:dyDescent="0.25">
      <c r="A13" s="45"/>
      <c r="B13" s="57"/>
      <c r="C13" s="66"/>
      <c r="D13" s="58"/>
      <c r="E13" s="51"/>
      <c r="F13" s="44"/>
    </row>
    <row r="14" spans="1:6" x14ac:dyDescent="0.25">
      <c r="A14" s="45"/>
      <c r="B14" s="63"/>
      <c r="C14" s="34">
        <v>70</v>
      </c>
      <c r="D14" s="67"/>
      <c r="E14" s="51" t="s">
        <v>66</v>
      </c>
      <c r="F14" s="44"/>
    </row>
    <row r="15" spans="1:6" x14ac:dyDescent="0.25">
      <c r="A15" s="45"/>
      <c r="B15" s="57"/>
      <c r="C15" s="68"/>
      <c r="D15" s="59"/>
      <c r="E15" s="51"/>
      <c r="F15" s="44"/>
    </row>
    <row r="16" spans="1:6" x14ac:dyDescent="0.25">
      <c r="A16" s="45"/>
      <c r="B16" s="60"/>
      <c r="C16" s="61"/>
      <c r="D16" s="62"/>
      <c r="E16" s="51"/>
      <c r="F16" s="44"/>
    </row>
    <row r="17" spans="1:6" x14ac:dyDescent="0.25">
      <c r="A17" s="43"/>
      <c r="B17" s="53"/>
      <c r="C17" s="53"/>
      <c r="D17" s="53"/>
      <c r="E17" s="47"/>
      <c r="F17" s="44"/>
    </row>
    <row r="18" spans="1:6" x14ac:dyDescent="0.25">
      <c r="A18" s="45"/>
      <c r="B18" s="70" t="s">
        <v>67</v>
      </c>
      <c r="C18" s="71"/>
      <c r="D18" s="71"/>
      <c r="E18" s="49"/>
      <c r="F18" s="46"/>
    </row>
    <row r="19" spans="1:6" x14ac:dyDescent="0.25">
      <c r="A19" s="45"/>
      <c r="B19" s="75"/>
      <c r="C19" s="74">
        <f>C4/Hintergrundberechnungen!B22</f>
        <v>10.367743875255307</v>
      </c>
      <c r="D19" s="76"/>
      <c r="E19" s="69" t="s">
        <v>68</v>
      </c>
      <c r="F19" s="46"/>
    </row>
    <row r="20" spans="1:6" x14ac:dyDescent="0.25">
      <c r="A20" s="45"/>
      <c r="B20" s="72"/>
      <c r="C20" s="73"/>
      <c r="D20" s="73"/>
      <c r="E20" s="50"/>
      <c r="F20" s="46"/>
    </row>
    <row r="21" spans="1:6" x14ac:dyDescent="0.25">
      <c r="A21" s="44"/>
      <c r="B21" s="48"/>
      <c r="C21" s="48"/>
      <c r="D21" s="48"/>
      <c r="E21" s="48"/>
      <c r="F21" s="44"/>
    </row>
  </sheetData>
  <sheetProtection algorithmName="SHA-512" hashValue="QqZNALi/dKLlFRVQyTYXYK9eZBNnveDQA76742du9jlh14IyH+KT30GtRO7dpFuj98iWa5kK0z+u6iqN+ccz+Q==" saltValue="TCQ/wubHY10ju1IEK9VG6w==" spinCount="100000" sheet="1" objects="1" scenarios="1" selectLockedCells="1"/>
  <mergeCells count="3">
    <mergeCell ref="B2:D2"/>
    <mergeCell ref="B18:D18"/>
    <mergeCell ref="B20:D20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1AEC6F2-1E12-4878-8671-3FAF23C1A9D2}">
          <x14:formula1>
            <xm:f>Hintergrundberechnungen!$B$3:$B$7</xm:f>
          </x14:formula1>
          <xm:sqref>C8:D8</xm:sqref>
        </x14:dataValidation>
        <x14:dataValidation type="list" allowBlank="1" showInputMessage="1" showErrorMessage="1" xr:uid="{338023B3-A211-420A-9510-631417381060}">
          <x14:formula1>
            <xm:f>Hintergrundberechnungen!$A$3:$A$4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826E-01B2-48B5-A3FC-8A00E2ED490D}">
  <dimension ref="A1:I26"/>
  <sheetViews>
    <sheetView workbookViewId="0">
      <selection activeCell="B27" sqref="B27"/>
    </sheetView>
  </sheetViews>
  <sheetFormatPr baseColWidth="10" defaultRowHeight="15" x14ac:dyDescent="0.25"/>
  <cols>
    <col min="1" max="1" width="15.42578125" customWidth="1"/>
    <col min="3" max="3" width="15" bestFit="1" customWidth="1"/>
    <col min="4" max="4" width="13.28515625" bestFit="1" customWidth="1"/>
    <col min="8" max="8" width="15" bestFit="1" customWidth="1"/>
    <col min="9" max="9" width="12.85546875" bestFit="1" customWidth="1"/>
  </cols>
  <sheetData>
    <row r="1" spans="1:9" x14ac:dyDescent="0.25">
      <c r="A1" t="s">
        <v>44</v>
      </c>
      <c r="F1" t="s">
        <v>44</v>
      </c>
    </row>
    <row r="2" spans="1:9" x14ac:dyDescent="0.25">
      <c r="A2" s="11" t="s">
        <v>45</v>
      </c>
      <c r="B2" t="s">
        <v>46</v>
      </c>
      <c r="C2" t="s">
        <v>16</v>
      </c>
      <c r="F2" s="18" t="s">
        <v>45</v>
      </c>
      <c r="G2" t="s">
        <v>46</v>
      </c>
      <c r="H2" t="s">
        <v>16</v>
      </c>
    </row>
    <row r="3" spans="1:9" ht="18" x14ac:dyDescent="0.35">
      <c r="A3" s="22">
        <v>90</v>
      </c>
      <c r="B3" t="s">
        <v>47</v>
      </c>
      <c r="C3">
        <f>Grundstruktur_Basisdaten!G25</f>
        <v>514.20000000000005</v>
      </c>
      <c r="D3" t="s">
        <v>29</v>
      </c>
      <c r="F3" s="20">
        <v>75</v>
      </c>
      <c r="G3" t="s">
        <v>47</v>
      </c>
      <c r="H3">
        <f>Grundstruktur_Basisdaten!G28</f>
        <v>636.5</v>
      </c>
      <c r="I3" t="s">
        <v>29</v>
      </c>
    </row>
    <row r="4" spans="1:9" ht="18" x14ac:dyDescent="0.35">
      <c r="A4" s="22">
        <v>75</v>
      </c>
      <c r="B4" t="s">
        <v>54</v>
      </c>
      <c r="C4">
        <f>Grundstruktur_Basisdaten!E25</f>
        <v>697.2</v>
      </c>
      <c r="D4" t="s">
        <v>29</v>
      </c>
      <c r="G4" t="s">
        <v>54</v>
      </c>
      <c r="H4">
        <f>Grundstruktur_Basisdaten!E28</f>
        <v>842.9</v>
      </c>
      <c r="I4" t="s">
        <v>29</v>
      </c>
    </row>
    <row r="5" spans="1:9" ht="18" x14ac:dyDescent="0.35">
      <c r="B5" t="s">
        <v>49</v>
      </c>
      <c r="C5">
        <f>Grundstruktur_Basisdaten!B25</f>
        <v>765.5</v>
      </c>
      <c r="D5" t="s">
        <v>29</v>
      </c>
      <c r="G5" t="s">
        <v>49</v>
      </c>
      <c r="H5">
        <f>Grundstruktur_Basisdaten!B28</f>
        <v>929.7</v>
      </c>
      <c r="I5" t="s">
        <v>29</v>
      </c>
    </row>
    <row r="6" spans="1:9" ht="18" x14ac:dyDescent="0.35">
      <c r="B6" t="s">
        <v>50</v>
      </c>
      <c r="C6">
        <f>Grundstruktur_Basisdaten!J25</f>
        <v>718.5</v>
      </c>
      <c r="D6" t="s">
        <v>29</v>
      </c>
      <c r="G6" t="s">
        <v>50</v>
      </c>
      <c r="H6">
        <f>Grundstruktur_Basisdaten!J28</f>
        <v>863.9</v>
      </c>
      <c r="I6" t="s">
        <v>29</v>
      </c>
    </row>
    <row r="7" spans="1:9" ht="18" x14ac:dyDescent="0.35">
      <c r="B7" t="s">
        <v>51</v>
      </c>
      <c r="C7">
        <f>Grundstruktur_Basisdaten!L25</f>
        <v>545.9</v>
      </c>
      <c r="D7" t="s">
        <v>29</v>
      </c>
      <c r="G7" t="s">
        <v>51</v>
      </c>
      <c r="H7">
        <f>Grundstruktur_Basisdaten!L28</f>
        <v>664.9</v>
      </c>
      <c r="I7" t="s">
        <v>29</v>
      </c>
    </row>
    <row r="8" spans="1:9" ht="15.75" thickBot="1" x14ac:dyDescent="0.3"/>
    <row r="9" spans="1:9" ht="15.75" thickBot="1" x14ac:dyDescent="0.3">
      <c r="A9" s="10" t="s">
        <v>56</v>
      </c>
    </row>
    <row r="10" spans="1:9" x14ac:dyDescent="0.25">
      <c r="B10" s="23" t="s">
        <v>47</v>
      </c>
      <c r="C10" s="24" t="str">
        <f>IF(Eingabenfelder!$C$8="Ost",Hintergrundberechnungen!C3, " ")</f>
        <v xml:space="preserve"> </v>
      </c>
      <c r="G10" s="23" t="s">
        <v>47</v>
      </c>
      <c r="H10" s="24" t="str">
        <f>IF(Eingabenfelder!$C$8="Ost",Hintergrundberechnungen!H3, " ")</f>
        <v xml:space="preserve"> </v>
      </c>
    </row>
    <row r="11" spans="1:9" x14ac:dyDescent="0.25">
      <c r="B11" s="25" t="s">
        <v>48</v>
      </c>
      <c r="C11" s="26" t="str">
        <f>IF(Eingabenfelder!$C$8="Süd-Ost",Hintergrundberechnungen!C4, " ")</f>
        <v xml:space="preserve"> </v>
      </c>
      <c r="G11" s="25" t="s">
        <v>54</v>
      </c>
      <c r="H11" s="26" t="str">
        <f>IF(Eingabenfelder!$C$8="Süd-Ost",Hintergrundberechnungen!H4, " ")</f>
        <v xml:space="preserve"> </v>
      </c>
    </row>
    <row r="12" spans="1:9" x14ac:dyDescent="0.25">
      <c r="B12" s="25" t="s">
        <v>49</v>
      </c>
      <c r="C12" s="26">
        <f>IF(Eingabenfelder!$C$8="Süd",Hintergrundberechnungen!C5, " ")</f>
        <v>765.5</v>
      </c>
      <c r="G12" s="25" t="s">
        <v>49</v>
      </c>
      <c r="H12" s="26">
        <f>IF(Eingabenfelder!$C$8="Süd",Hintergrundberechnungen!H5, " ")</f>
        <v>929.7</v>
      </c>
    </row>
    <row r="13" spans="1:9" x14ac:dyDescent="0.25">
      <c r="B13" s="25" t="s">
        <v>50</v>
      </c>
      <c r="C13" s="26" t="str">
        <f>IF(Eingabenfelder!$C$8="Süd-West",Hintergrundberechnungen!C6, " ")</f>
        <v xml:space="preserve"> </v>
      </c>
      <c r="G13" s="25" t="s">
        <v>50</v>
      </c>
      <c r="H13" s="26" t="str">
        <f>IF(Eingabenfelder!$C$8="Süd-West",Hintergrundberechnungen!H6, " ")</f>
        <v xml:space="preserve"> </v>
      </c>
    </row>
    <row r="14" spans="1:9" ht="15.75" thickBot="1" x14ac:dyDescent="0.3">
      <c r="B14" s="27" t="s">
        <v>51</v>
      </c>
      <c r="C14" s="28" t="str">
        <f>IF(Eingabenfelder!$C$8="West",Hintergrundberechnungen!C7, " ")</f>
        <v xml:space="preserve"> </v>
      </c>
      <c r="G14" s="27" t="s">
        <v>51</v>
      </c>
      <c r="H14" s="28" t="str">
        <f>IF(Eingabenfelder!$C$8="West",Hintergrundberechnungen!H7, " ")</f>
        <v xml:space="preserve"> </v>
      </c>
    </row>
    <row r="15" spans="1:9" x14ac:dyDescent="0.25">
      <c r="C15">
        <f>SUM(C10:C14)</f>
        <v>765.5</v>
      </c>
      <c r="H15">
        <f>SUM(H10:H14)</f>
        <v>929.7</v>
      </c>
    </row>
    <row r="16" spans="1:9" ht="15.75" thickBot="1" x14ac:dyDescent="0.3"/>
    <row r="17" spans="1:3" ht="15.75" thickBot="1" x14ac:dyDescent="0.3">
      <c r="A17" s="10" t="s">
        <v>55</v>
      </c>
    </row>
    <row r="18" spans="1:3" ht="18.75" thickBot="1" x14ac:dyDescent="0.4">
      <c r="B18" s="29">
        <f>IF(Eingabenfelder!C10=90,Hintergrundberechnungen!C15,H15)</f>
        <v>765.5</v>
      </c>
      <c r="C18" s="9" t="s">
        <v>29</v>
      </c>
    </row>
    <row r="19" spans="1:3" ht="15.75" thickBot="1" x14ac:dyDescent="0.3">
      <c r="C19" s="21"/>
    </row>
    <row r="20" spans="1:3" ht="15.75" thickBot="1" x14ac:dyDescent="0.3">
      <c r="A20" s="10" t="s">
        <v>57</v>
      </c>
    </row>
    <row r="21" spans="1:3" x14ac:dyDescent="0.25">
      <c r="A21" s="6" t="s">
        <v>27</v>
      </c>
      <c r="B21" s="2">
        <f>B18*Eingabenfelder!C6/1000*Eingabenfelder!C14/100</f>
        <v>160.755</v>
      </c>
      <c r="C21" t="s">
        <v>4</v>
      </c>
    </row>
    <row r="22" spans="1:3" x14ac:dyDescent="0.25">
      <c r="A22" s="30" t="s">
        <v>58</v>
      </c>
      <c r="B22" s="2">
        <f>B21*Eingabenfelder!C12/100</f>
        <v>48.226499999999994</v>
      </c>
      <c r="C22" t="s">
        <v>8</v>
      </c>
    </row>
    <row r="23" spans="1:3" ht="15.75" thickBot="1" x14ac:dyDescent="0.3"/>
    <row r="24" spans="1:3" ht="15.75" thickBot="1" x14ac:dyDescent="0.3">
      <c r="A24" s="10" t="s">
        <v>59</v>
      </c>
    </row>
    <row r="25" spans="1:3" x14ac:dyDescent="0.25">
      <c r="B25">
        <f>ROUND(Eingabenfelder!C19,0)</f>
        <v>10</v>
      </c>
      <c r="C25" t="s">
        <v>20</v>
      </c>
    </row>
    <row r="26" spans="1:3" x14ac:dyDescent="0.25">
      <c r="B26" s="1">
        <f>Eingabenfelder!C19-Hintergrundberechnungen!B25</f>
        <v>0.36774387525530727</v>
      </c>
      <c r="C26" t="s">
        <v>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B2EF7-2096-4DB9-BE33-8F0D3014A152}">
  <dimension ref="A1:N40"/>
  <sheetViews>
    <sheetView workbookViewId="0">
      <selection activeCell="F14" sqref="F14"/>
    </sheetView>
  </sheetViews>
  <sheetFormatPr baseColWidth="10" defaultRowHeight="15" x14ac:dyDescent="0.25"/>
  <cols>
    <col min="1" max="1" width="15" bestFit="1" customWidth="1"/>
    <col min="6" max="6" width="12.85546875" bestFit="1" customWidth="1"/>
    <col min="8" max="8" width="13.7109375" bestFit="1" customWidth="1"/>
    <col min="11" max="11" width="12.85546875" bestFit="1" customWidth="1"/>
    <col min="13" max="13" width="12.85546875" bestFit="1" customWidth="1"/>
  </cols>
  <sheetData>
    <row r="1" spans="1:9" ht="18.75" x14ac:dyDescent="0.3">
      <c r="B1" s="35" t="s">
        <v>17</v>
      </c>
      <c r="C1" s="35"/>
      <c r="D1" s="35"/>
    </row>
    <row r="2" spans="1:9" ht="15.75" thickBot="1" x14ac:dyDescent="0.3">
      <c r="H2" t="s">
        <v>7</v>
      </c>
    </row>
    <row r="3" spans="1:9" ht="15.75" thickBot="1" x14ac:dyDescent="0.3">
      <c r="B3">
        <v>325</v>
      </c>
      <c r="C3" t="s">
        <v>1</v>
      </c>
      <c r="E3" t="s">
        <v>6</v>
      </c>
      <c r="H3" s="10">
        <v>205.08</v>
      </c>
    </row>
    <row r="4" spans="1:9" x14ac:dyDescent="0.25">
      <c r="B4" s="4">
        <v>955.4</v>
      </c>
      <c r="C4" t="s">
        <v>18</v>
      </c>
      <c r="E4">
        <v>143.66999999999999</v>
      </c>
      <c r="F4" t="s">
        <v>0</v>
      </c>
      <c r="H4">
        <f>H3</f>
        <v>205.08</v>
      </c>
    </row>
    <row r="5" spans="1:9" x14ac:dyDescent="0.25">
      <c r="A5" s="3">
        <v>0.4</v>
      </c>
      <c r="B5">
        <f>B3*B4*A5</f>
        <v>124202</v>
      </c>
      <c r="C5" t="s">
        <v>2</v>
      </c>
      <c r="E5">
        <v>364</v>
      </c>
      <c r="F5" t="s">
        <v>3</v>
      </c>
      <c r="H5">
        <f>E5</f>
        <v>364</v>
      </c>
      <c r="I5" t="str">
        <f>F5</f>
        <v>kWh</v>
      </c>
    </row>
    <row r="6" spans="1:9" x14ac:dyDescent="0.25">
      <c r="A6" t="s">
        <v>21</v>
      </c>
      <c r="B6">
        <f>B5/1000</f>
        <v>124.202</v>
      </c>
      <c r="C6" t="s">
        <v>4</v>
      </c>
      <c r="E6" s="1">
        <f>E4/E5</f>
        <v>0.39469780219780215</v>
      </c>
      <c r="F6" t="s">
        <v>5</v>
      </c>
      <c r="H6" s="1">
        <f>H4/H5</f>
        <v>0.56340659340659349</v>
      </c>
      <c r="I6" t="s">
        <v>5</v>
      </c>
    </row>
    <row r="7" spans="1:9" x14ac:dyDescent="0.25">
      <c r="B7">
        <v>500</v>
      </c>
      <c r="C7" t="s">
        <v>0</v>
      </c>
    </row>
    <row r="8" spans="1:9" ht="15.75" thickBot="1" x14ac:dyDescent="0.3"/>
    <row r="9" spans="1:9" ht="15.75" thickBot="1" x14ac:dyDescent="0.3">
      <c r="A9" s="7" t="s">
        <v>19</v>
      </c>
      <c r="B9" s="8">
        <v>1100</v>
      </c>
      <c r="C9" s="8" t="s">
        <v>4</v>
      </c>
      <c r="D9" s="8"/>
      <c r="E9" s="8"/>
      <c r="F9" s="8"/>
      <c r="G9" s="8"/>
      <c r="H9" s="8">
        <f>B9</f>
        <v>1100</v>
      </c>
      <c r="I9" s="9" t="str">
        <f>C9</f>
        <v>kWh/a</v>
      </c>
    </row>
    <row r="10" spans="1:9" x14ac:dyDescent="0.25">
      <c r="B10">
        <f>B9-B6</f>
        <v>975.798</v>
      </c>
      <c r="C10" t="s">
        <v>4</v>
      </c>
      <c r="H10" s="2">
        <f>H9*H6</f>
        <v>619.74725274725279</v>
      </c>
      <c r="I10" t="s">
        <v>8</v>
      </c>
    </row>
    <row r="12" spans="1:9" x14ac:dyDescent="0.25">
      <c r="A12" s="6" t="s">
        <v>9</v>
      </c>
      <c r="H12">
        <f>B10</f>
        <v>975.798</v>
      </c>
      <c r="I12" t="str">
        <f>C10</f>
        <v>kWh/a</v>
      </c>
    </row>
    <row r="13" spans="1:9" x14ac:dyDescent="0.25">
      <c r="H13" s="2">
        <f>H12*H6</f>
        <v>549.77102703296714</v>
      </c>
      <c r="I13" s="2" t="str">
        <f>I10</f>
        <v>Euro/a</v>
      </c>
    </row>
    <row r="15" spans="1:9" x14ac:dyDescent="0.25">
      <c r="H15" s="2">
        <f>H10-H13</f>
        <v>69.976225714285647</v>
      </c>
      <c r="I15" s="2" t="str">
        <f>I13</f>
        <v>Euro/a</v>
      </c>
    </row>
    <row r="16" spans="1:9" ht="15.75" thickBot="1" x14ac:dyDescent="0.3">
      <c r="H16" s="2">
        <f>B7/H15</f>
        <v>7.1452839145899372</v>
      </c>
      <c r="I16" s="2" t="s">
        <v>20</v>
      </c>
    </row>
    <row r="17" spans="1:14" s="11" customFormat="1" ht="15.75" thickBot="1" x14ac:dyDescent="0.3">
      <c r="A17" s="36" t="s">
        <v>17</v>
      </c>
      <c r="B17" s="37"/>
      <c r="C17" s="37"/>
      <c r="D17" s="37"/>
      <c r="E17" s="37"/>
      <c r="F17" s="37"/>
      <c r="G17" s="38"/>
    </row>
    <row r="18" spans="1:14" x14ac:dyDescent="0.25">
      <c r="B18" s="39" t="s">
        <v>10</v>
      </c>
      <c r="C18" s="39"/>
    </row>
    <row r="19" spans="1:14" x14ac:dyDescent="0.25">
      <c r="B19" s="40" t="s">
        <v>11</v>
      </c>
      <c r="C19" s="40"/>
    </row>
    <row r="20" spans="1:14" ht="15.75" thickBot="1" x14ac:dyDescent="0.3">
      <c r="A20" t="s">
        <v>25</v>
      </c>
    </row>
    <row r="21" spans="1:14" ht="18.75" thickBot="1" x14ac:dyDescent="0.4">
      <c r="A21" s="12" t="s">
        <v>31</v>
      </c>
      <c r="B21" s="17">
        <f>B7/B3*1000</f>
        <v>1538.4615384615386</v>
      </c>
      <c r="C21" s="9" t="s">
        <v>26</v>
      </c>
      <c r="D21" t="s">
        <v>22</v>
      </c>
      <c r="E21" s="12" t="s">
        <v>32</v>
      </c>
      <c r="F21" s="17">
        <f>650/B3*1000</f>
        <v>2000</v>
      </c>
      <c r="G21" s="9" t="s">
        <v>26</v>
      </c>
    </row>
    <row r="23" spans="1:14" x14ac:dyDescent="0.25">
      <c r="A23" t="s">
        <v>12</v>
      </c>
      <c r="B23" s="13" t="s">
        <v>53</v>
      </c>
      <c r="C23" t="s">
        <v>13</v>
      </c>
      <c r="D23" s="5" t="s">
        <v>15</v>
      </c>
    </row>
    <row r="24" spans="1:14" x14ac:dyDescent="0.25">
      <c r="A24" t="s">
        <v>14</v>
      </c>
      <c r="B24">
        <v>0</v>
      </c>
      <c r="C24" t="s">
        <v>13</v>
      </c>
      <c r="D24" s="5" t="s">
        <v>39</v>
      </c>
      <c r="E24">
        <v>-45</v>
      </c>
      <c r="F24" s="5" t="s">
        <v>42</v>
      </c>
      <c r="G24">
        <v>-90</v>
      </c>
      <c r="H24" t="s">
        <v>13</v>
      </c>
      <c r="I24" s="5" t="s">
        <v>38</v>
      </c>
      <c r="J24">
        <v>45</v>
      </c>
      <c r="K24" s="5" t="s">
        <v>43</v>
      </c>
      <c r="L24">
        <v>90</v>
      </c>
      <c r="M24" t="s">
        <v>13</v>
      </c>
      <c r="N24" s="5" t="s">
        <v>37</v>
      </c>
    </row>
    <row r="25" spans="1:14" ht="18" x14ac:dyDescent="0.35">
      <c r="A25" t="s">
        <v>16</v>
      </c>
      <c r="B25">
        <v>765.5</v>
      </c>
      <c r="C25" t="s">
        <v>29</v>
      </c>
      <c r="E25">
        <v>697.2</v>
      </c>
      <c r="F25" t="s">
        <v>29</v>
      </c>
      <c r="G25">
        <v>514.20000000000005</v>
      </c>
      <c r="H25" t="s">
        <v>29</v>
      </c>
      <c r="J25">
        <v>718.5</v>
      </c>
      <c r="K25" t="s">
        <v>29</v>
      </c>
      <c r="L25">
        <v>545.9</v>
      </c>
      <c r="M25" t="s">
        <v>29</v>
      </c>
    </row>
    <row r="26" spans="1:14" s="15" customFormat="1" x14ac:dyDescent="0.25">
      <c r="A26" s="15" t="s">
        <v>12</v>
      </c>
      <c r="B26" s="19" t="s">
        <v>52</v>
      </c>
      <c r="C26" s="15" t="s">
        <v>13</v>
      </c>
      <c r="D26" s="16" t="s">
        <v>15</v>
      </c>
    </row>
    <row r="27" spans="1:14" x14ac:dyDescent="0.25">
      <c r="A27" t="s">
        <v>14</v>
      </c>
      <c r="B27">
        <v>0</v>
      </c>
      <c r="C27" t="s">
        <v>13</v>
      </c>
      <c r="D27" s="5" t="s">
        <v>39</v>
      </c>
      <c r="E27">
        <v>-45</v>
      </c>
      <c r="F27" s="5" t="s">
        <v>42</v>
      </c>
      <c r="G27">
        <v>-90</v>
      </c>
      <c r="H27" t="s">
        <v>13</v>
      </c>
      <c r="I27" s="5" t="s">
        <v>38</v>
      </c>
      <c r="J27">
        <v>45</v>
      </c>
      <c r="K27" s="5" t="s">
        <v>43</v>
      </c>
      <c r="L27">
        <v>90</v>
      </c>
      <c r="M27" t="s">
        <v>13</v>
      </c>
      <c r="N27" s="5" t="s">
        <v>37</v>
      </c>
    </row>
    <row r="28" spans="1:14" ht="18" x14ac:dyDescent="0.35">
      <c r="A28" t="s">
        <v>16</v>
      </c>
      <c r="B28">
        <v>929.7</v>
      </c>
      <c r="C28" t="s">
        <v>29</v>
      </c>
      <c r="E28">
        <v>842.9</v>
      </c>
      <c r="F28" t="s">
        <v>29</v>
      </c>
      <c r="G28">
        <v>636.5</v>
      </c>
      <c r="H28" t="s">
        <v>29</v>
      </c>
      <c r="J28">
        <v>863.9</v>
      </c>
      <c r="K28" t="s">
        <v>29</v>
      </c>
      <c r="L28">
        <v>664.9</v>
      </c>
      <c r="M28" t="s">
        <v>29</v>
      </c>
    </row>
    <row r="29" spans="1:14" x14ac:dyDescent="0.25">
      <c r="A29" s="40" t="s">
        <v>41</v>
      </c>
      <c r="B29" s="40"/>
      <c r="C29" s="40"/>
      <c r="D29" s="14" t="s">
        <v>40</v>
      </c>
    </row>
    <row r="31" spans="1:14" x14ac:dyDescent="0.25">
      <c r="A31" t="s">
        <v>24</v>
      </c>
    </row>
    <row r="32" spans="1:14" x14ac:dyDescent="0.25">
      <c r="A32">
        <v>56.3</v>
      </c>
      <c r="B32" t="s">
        <v>23</v>
      </c>
      <c r="D32" t="s">
        <v>22</v>
      </c>
      <c r="F32">
        <v>38.5</v>
      </c>
      <c r="G32" t="s">
        <v>23</v>
      </c>
    </row>
    <row r="34" spans="1:7" x14ac:dyDescent="0.25">
      <c r="A34" t="s">
        <v>27</v>
      </c>
    </row>
    <row r="35" spans="1:7" x14ac:dyDescent="0.25">
      <c r="A35">
        <v>40</v>
      </c>
      <c r="B35" t="s">
        <v>28</v>
      </c>
      <c r="D35" t="s">
        <v>22</v>
      </c>
      <c r="F35">
        <v>70</v>
      </c>
      <c r="G35" t="s">
        <v>28</v>
      </c>
    </row>
    <row r="36" spans="1:7" x14ac:dyDescent="0.25">
      <c r="A36">
        <f>A35/100*B25</f>
        <v>306.2</v>
      </c>
      <c r="B36" t="s">
        <v>4</v>
      </c>
      <c r="D36" t="s">
        <v>22</v>
      </c>
      <c r="F36">
        <f>F35/100*B25</f>
        <v>535.85</v>
      </c>
      <c r="G36" t="s">
        <v>4</v>
      </c>
    </row>
    <row r="38" spans="1:7" x14ac:dyDescent="0.25">
      <c r="A38" t="s">
        <v>30</v>
      </c>
    </row>
    <row r="39" spans="1:7" x14ac:dyDescent="0.25">
      <c r="A39" t="s">
        <v>33</v>
      </c>
      <c r="C39" t="s">
        <v>20</v>
      </c>
      <c r="E39" t="s">
        <v>35</v>
      </c>
      <c r="G39" t="s">
        <v>20</v>
      </c>
    </row>
    <row r="40" spans="1:7" x14ac:dyDescent="0.25">
      <c r="A40" t="s">
        <v>34</v>
      </c>
      <c r="C40" t="s">
        <v>20</v>
      </c>
      <c r="E40" t="s">
        <v>36</v>
      </c>
      <c r="G40" t="s">
        <v>20</v>
      </c>
    </row>
  </sheetData>
  <mergeCells count="5">
    <mergeCell ref="B1:D1"/>
    <mergeCell ref="A17:G17"/>
    <mergeCell ref="B18:C18"/>
    <mergeCell ref="B19:C19"/>
    <mergeCell ref="A29:C29"/>
  </mergeCells>
  <hyperlinks>
    <hyperlink ref="D29" r:id="rId1" xr:uid="{38415374-AF65-43CA-8540-BA19BBFEA9AB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Eingabenfelder</vt:lpstr>
      <vt:lpstr>Hintergrundberechnungen</vt:lpstr>
      <vt:lpstr>Grundstruktur_Basisdaten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Bauer</dc:creator>
  <cp:lastModifiedBy>Andreas Bauer</cp:lastModifiedBy>
  <dcterms:created xsi:type="dcterms:W3CDTF">2023-02-21T21:31:50Z</dcterms:created>
  <dcterms:modified xsi:type="dcterms:W3CDTF">2024-04-24T12:49:51Z</dcterms:modified>
</cp:coreProperties>
</file>